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Tavella\iCloudDrive\Documents\gtavella77.art.blog\costo-lavoro\"/>
    </mc:Choice>
  </mc:AlternateContent>
  <xr:revisionPtr revIDLastSave="0" documentId="13_ncr:1_{01E8BFE1-9669-46E6-A2DC-CB7492308CD1}" xr6:coauthVersionLast="47" xr6:coauthVersionMax="47" xr10:uidLastSave="{00000000-0000-0000-0000-000000000000}"/>
  <bookViews>
    <workbookView xWindow="-120" yWindow="-120" windowWidth="24240" windowHeight="13140" xr2:uid="{D616AD72-0698-4079-B74A-6DD77459BE24}"/>
  </bookViews>
  <sheets>
    <sheet name="calcolo" sheetId="2" r:id="rId1"/>
    <sheet name="parametri" sheetId="3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7" i="2" l="1"/>
  <c r="C36" i="2"/>
  <c r="C34" i="2"/>
  <c r="C33" i="2"/>
  <c r="C16" i="2"/>
  <c r="C4" i="3"/>
  <c r="C13" i="2"/>
  <c r="C14" i="2"/>
  <c r="C23" i="2"/>
  <c r="C22" i="2"/>
  <c r="C19" i="2"/>
  <c r="C5" i="3" l="1"/>
  <c r="C6" i="3"/>
  <c r="C8" i="3"/>
  <c r="C15" i="2" s="1"/>
  <c r="C9" i="3"/>
  <c r="C11" i="3"/>
  <c r="C12" i="3"/>
  <c r="C13" i="3"/>
  <c r="C14" i="3"/>
  <c r="C15" i="3"/>
  <c r="C16" i="3"/>
  <c r="C38" i="2"/>
  <c r="C25" i="2" l="1"/>
  <c r="C26" i="2" s="1"/>
  <c r="C20" i="2"/>
  <c r="G7" i="3"/>
  <c r="C21" i="2" s="1"/>
  <c r="C30" i="2" l="1"/>
  <c r="C27" i="2"/>
  <c r="C29" i="2" l="1"/>
  <c r="C31" i="2"/>
  <c r="C28" i="2"/>
  <c r="C39" i="2" l="1"/>
  <c r="C35" i="2" l="1"/>
  <c r="C40" i="2" s="1"/>
</calcChain>
</file>

<file path=xl/sharedStrings.xml><?xml version="1.0" encoding="utf-8"?>
<sst xmlns="http://schemas.openxmlformats.org/spreadsheetml/2006/main" count="72" uniqueCount="67">
  <si>
    <t>TEMPO IND/DET</t>
  </si>
  <si>
    <t>LORDO MENSILE</t>
  </si>
  <si>
    <t>T.INDET.</t>
  </si>
  <si>
    <t>T.DET.</t>
  </si>
  <si>
    <t>TIPO CONTR.</t>
  </si>
  <si>
    <t>CONTRIBUTI A CARICO DL</t>
  </si>
  <si>
    <t>TFR</t>
  </si>
  <si>
    <t>INAIL</t>
  </si>
  <si>
    <t>INAIL A CARICO DL</t>
  </si>
  <si>
    <t>INCIDENZA IRAP</t>
  </si>
  <si>
    <t>STIPENDI LORDI</t>
  </si>
  <si>
    <t>SUBTOTALE</t>
  </si>
  <si>
    <t>TOTALE COSTO PERIODO</t>
  </si>
  <si>
    <t>PARAMETRI</t>
  </si>
  <si>
    <t>ALIQUOTE</t>
  </si>
  <si>
    <t>CALCOLO</t>
  </si>
  <si>
    <t>IRAP</t>
  </si>
  <si>
    <t>N. MENSILITA' DA CONTRATTO</t>
  </si>
  <si>
    <t>COSTO ORARIO</t>
  </si>
  <si>
    <t>ORE MEDIAMENTE LAVORATE PERIODO</t>
  </si>
  <si>
    <t>COSTO ORARIO COMPRENSIVO DI IRAP</t>
  </si>
  <si>
    <t>MENSILITA' AGGIUNTIVE</t>
  </si>
  <si>
    <t>% PART-TIME (100% = FULL TIME)</t>
  </si>
  <si>
    <t>ORE MEDIAMENTE LAVORATE (12 MESI FULL-TIME)</t>
  </si>
  <si>
    <t>SUPERMINIMO MENSILE</t>
  </si>
  <si>
    <t>E2</t>
  </si>
  <si>
    <t>D2</t>
  </si>
  <si>
    <t>D1</t>
  </si>
  <si>
    <t>C3</t>
  </si>
  <si>
    <t>E1</t>
  </si>
  <si>
    <t>D3</t>
  </si>
  <si>
    <t>C2</t>
  </si>
  <si>
    <t>C1</t>
  </si>
  <si>
    <t>B1</t>
  </si>
  <si>
    <t>A2</t>
  </si>
  <si>
    <t>A1</t>
  </si>
  <si>
    <t>N. SCATTI ANZIANITA'</t>
  </si>
  <si>
    <t>F1</t>
  </si>
  <si>
    <t>F2</t>
  </si>
  <si>
    <t>CALCOLO COSTO AZIENDALE - ANNO 2021 CCNL COOP. SOCIALI</t>
  </si>
  <si>
    <t>ASSISTENZA SANITARIA INTEGRATIVA</t>
  </si>
  <si>
    <t>PREVIDENZA COMPLEMENTARE</t>
  </si>
  <si>
    <t>TABELLARE CCNL COOP SOCIALI DAL 01.12.2020</t>
  </si>
  <si>
    <t>ALTRI PARAMETRI</t>
  </si>
  <si>
    <t>ALIQ. CONTR. DL</t>
  </si>
  <si>
    <t>ALIQ. INAIL</t>
  </si>
  <si>
    <t>ALIQ. TFR</t>
  </si>
  <si>
    <t>ALIQ. IRAP DL</t>
  </si>
  <si>
    <t>ANNI ANZIANITA'</t>
  </si>
  <si>
    <t>N. MESI LAVORATI</t>
  </si>
  <si>
    <t>IMPORTO SINGOLO SCATTO ANZIANITA'</t>
  </si>
  <si>
    <t>PREVIDENZA COMPLEMENTARE CARICO DL</t>
  </si>
  <si>
    <t>ADESIONE PREVIDENZA COMPLEMENTARE</t>
  </si>
  <si>
    <t>SI</t>
  </si>
  <si>
    <t>ALIQ. PREV. C.</t>
  </si>
  <si>
    <t>RETRIBUZIONE ANNUA LORDA (R.A.L.)</t>
  </si>
  <si>
    <t>COSTO ORARIO AZIENDALE</t>
  </si>
  <si>
    <t>STIPENDIO LORDO MENSILE</t>
  </si>
  <si>
    <t>DATI</t>
  </si>
  <si>
    <t>LIVELLO</t>
  </si>
  <si>
    <t>LIVELLO INQUADRAMENTO DIPENDENTE</t>
  </si>
  <si>
    <t>SCATTO ANZ.</t>
  </si>
  <si>
    <t>ERT</t>
  </si>
  <si>
    <t>ELEMENTO RETRIBUTIVO TERRITORIALE (E.R.T.)</t>
  </si>
  <si>
    <t>BUONO PASTO</t>
  </si>
  <si>
    <t>BUONO PASTO (COSTO AZIENDALE)</t>
  </si>
  <si>
    <t>N. BUONI ANNO FULL-TIME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</si>
</sst>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&quot;€&quot;\ * #,##0.00_ ;_ &quot;€&quot;\ * \-#,##0.00_ ;_ &quot;€&quot;\ * &quot;-&quot;??_ ;_ @_ "/>
    <numFmt numFmtId="165" formatCode="0.000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4">
    <xf numFmtId="0" fontId="0" fillId="0" borderId="0" xfId="0"/>
    <xf numFmtId="164" fontId="0" fillId="0" borderId="0" xfId="1" applyFont="1"/>
    <xf numFmtId="164" fontId="0" fillId="0" borderId="0" xfId="0" applyNumberFormat="1"/>
    <xf numFmtId="0" fontId="0" fillId="0" borderId="1" xfId="0" applyBorder="1"/>
    <xf numFmtId="0" fontId="0" fillId="0" borderId="8" xfId="0" applyBorder="1"/>
    <xf numFmtId="0" fontId="0" fillId="0" borderId="9" xfId="0" applyBorder="1"/>
    <xf numFmtId="10" fontId="0" fillId="0" borderId="5" xfId="2" applyNumberFormat="1" applyFont="1" applyBorder="1"/>
    <xf numFmtId="10" fontId="0" fillId="0" borderId="6" xfId="2" applyNumberFormat="1" applyFont="1" applyBorder="1"/>
    <xf numFmtId="10" fontId="0" fillId="0" borderId="7" xfId="2" applyNumberFormat="1" applyFont="1" applyBorder="1"/>
    <xf numFmtId="164" fontId="0" fillId="0" borderId="5" xfId="1" applyFont="1" applyBorder="1"/>
    <xf numFmtId="164" fontId="0" fillId="0" borderId="6" xfId="1" applyFont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right"/>
    </xf>
    <xf numFmtId="0" fontId="2" fillId="2" borderId="10" xfId="0" applyFont="1" applyFill="1" applyBorder="1"/>
    <xf numFmtId="164" fontId="2" fillId="2" borderId="7" xfId="0" applyNumberFormat="1" applyFont="1" applyFill="1" applyBorder="1"/>
    <xf numFmtId="0" fontId="0" fillId="4" borderId="9" xfId="0" applyFill="1" applyBorder="1"/>
    <xf numFmtId="164" fontId="0" fillId="4" borderId="6" xfId="1" applyFont="1" applyFill="1" applyBorder="1"/>
    <xf numFmtId="0" fontId="0" fillId="0" borderId="1" xfId="0" applyFill="1" applyBorder="1"/>
    <xf numFmtId="0" fontId="0" fillId="0" borderId="14" xfId="0" applyBorder="1"/>
    <xf numFmtId="0" fontId="0" fillId="0" borderId="16" xfId="0" applyBorder="1"/>
    <xf numFmtId="164" fontId="0" fillId="0" borderId="7" xfId="1" applyFont="1" applyBorder="1"/>
    <xf numFmtId="0" fontId="2" fillId="4" borderId="15" xfId="0" applyFont="1" applyFill="1" applyBorder="1"/>
    <xf numFmtId="164" fontId="2" fillId="4" borderId="6" xfId="1" applyFont="1" applyFill="1" applyBorder="1"/>
    <xf numFmtId="0" fontId="0" fillId="0" borderId="0" xfId="0" applyAlignment="1">
      <alignment horizontal="right"/>
    </xf>
    <xf numFmtId="0" fontId="0" fillId="0" borderId="5" xfId="1" applyNumberFormat="1" applyFont="1" applyBorder="1" applyAlignment="1">
      <alignment horizontal="right"/>
    </xf>
    <xf numFmtId="0" fontId="0" fillId="0" borderId="17" xfId="0" applyBorder="1"/>
    <xf numFmtId="164" fontId="0" fillId="0" borderId="18" xfId="1" applyFont="1" applyBorder="1"/>
    <xf numFmtId="9" fontId="0" fillId="2" borderId="18" xfId="2" applyFont="1" applyFill="1" applyBorder="1" applyAlignment="1">
      <alignment horizontal="right"/>
    </xf>
    <xf numFmtId="164" fontId="0" fillId="0" borderId="1" xfId="1" applyFont="1" applyBorder="1"/>
    <xf numFmtId="164" fontId="0" fillId="5" borderId="6" xfId="1" applyFont="1" applyFill="1" applyBorder="1" applyAlignment="1">
      <alignment horizontal="right"/>
    </xf>
    <xf numFmtId="0" fontId="2" fillId="0" borderId="0" xfId="0" applyFont="1"/>
    <xf numFmtId="0" fontId="0" fillId="2" borderId="14" xfId="0" applyFill="1" applyBorder="1"/>
    <xf numFmtId="0" fontId="0" fillId="2" borderId="19" xfId="0" applyFill="1" applyBorder="1"/>
    <xf numFmtId="0" fontId="0" fillId="2" borderId="15" xfId="0" applyFill="1" applyBorder="1"/>
    <xf numFmtId="0" fontId="0" fillId="5" borderId="16" xfId="0" applyFill="1" applyBorder="1"/>
    <xf numFmtId="0" fontId="0" fillId="5" borderId="15" xfId="0" applyFill="1" applyBorder="1"/>
    <xf numFmtId="164" fontId="0" fillId="5" borderId="7" xfId="1" applyFont="1" applyFill="1" applyBorder="1" applyAlignment="1">
      <alignment horizontal="right"/>
    </xf>
    <xf numFmtId="0" fontId="0" fillId="0" borderId="15" xfId="0" applyBorder="1"/>
    <xf numFmtId="0" fontId="0" fillId="2" borderId="20" xfId="0" applyFill="1" applyBorder="1"/>
    <xf numFmtId="10" fontId="0" fillId="0" borderId="0" xfId="2" applyNumberFormat="1" applyFont="1"/>
    <xf numFmtId="0" fontId="0" fillId="6" borderId="17" xfId="0" applyFill="1" applyBorder="1"/>
    <xf numFmtId="164" fontId="0" fillId="6" borderId="18" xfId="1" applyFont="1" applyFill="1" applyBorder="1"/>
    <xf numFmtId="0" fontId="0" fillId="5" borderId="9" xfId="0" applyFill="1" applyBorder="1"/>
    <xf numFmtId="0" fontId="0" fillId="5" borderId="17" xfId="0" applyFill="1" applyBorder="1"/>
    <xf numFmtId="0" fontId="0" fillId="5" borderId="18" xfId="0" applyFill="1" applyBorder="1" applyAlignment="1">
      <alignment horizontal="right"/>
    </xf>
    <xf numFmtId="0" fontId="0" fillId="2" borderId="16" xfId="0" applyFill="1" applyBorder="1"/>
    <xf numFmtId="164" fontId="0" fillId="2" borderId="7" xfId="1" applyFont="1" applyFill="1" applyBorder="1" applyAlignment="1">
      <alignment horizontal="right"/>
    </xf>
    <xf numFmtId="10" fontId="0" fillId="7" borderId="1" xfId="2" applyNumberFormat="1" applyFont="1" applyFill="1" applyBorder="1"/>
    <xf numFmtId="0" fontId="0" fillId="7" borderId="1" xfId="0" applyFill="1" applyBorder="1"/>
    <xf numFmtId="165" fontId="0" fillId="7" borderId="1" xfId="2" applyNumberFormat="1" applyFont="1" applyFill="1" applyBorder="1"/>
    <xf numFmtId="10" fontId="0" fillId="7" borderId="1" xfId="0" applyNumberFormat="1" applyFill="1" applyBorder="1"/>
    <xf numFmtId="0" fontId="0" fillId="0" borderId="0" xfId="0" applyBorder="1"/>
    <xf numFmtId="0" fontId="0" fillId="0" borderId="1" xfId="0" applyBorder="1" applyAlignment="1">
      <alignment horizontal="center"/>
    </xf>
    <xf numFmtId="0" fontId="0" fillId="5" borderId="21" xfId="0" applyFill="1" applyBorder="1"/>
    <xf numFmtId="0" fontId="0" fillId="2" borderId="21" xfId="0" applyFill="1" applyBorder="1"/>
    <xf numFmtId="164" fontId="0" fillId="2" borderId="6" xfId="1" applyFont="1" applyFill="1" applyBorder="1" applyAlignment="1">
      <alignment horizontal="right"/>
    </xf>
    <xf numFmtId="0" fontId="0" fillId="4" borderId="11" xfId="0" applyFill="1" applyBorder="1" applyAlignment="1">
      <alignment horizontal="center" vertical="center" wrapText="1"/>
    </xf>
    <xf numFmtId="0" fontId="0" fillId="4" borderId="12" xfId="0" applyFill="1" applyBorder="1" applyAlignment="1">
      <alignment horizontal="center" vertical="center" wrapText="1"/>
    </xf>
    <xf numFmtId="0" fontId="0" fillId="4" borderId="13" xfId="0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0" fillId="3" borderId="11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0" fillId="5" borderId="11" xfId="0" applyFill="1" applyBorder="1" applyAlignment="1">
      <alignment horizontal="center" vertical="center" wrapText="1"/>
    </xf>
    <xf numFmtId="0" fontId="0" fillId="5" borderId="12" xfId="0" applyFill="1" applyBorder="1" applyAlignment="1">
      <alignment horizontal="center" vertical="center" wrapText="1"/>
    </xf>
    <xf numFmtId="0" fontId="0" fillId="5" borderId="13" xfId="0" applyFill="1" applyBorder="1" applyAlignment="1">
      <alignment horizontal="center" vertical="center" wrapText="1"/>
    </xf>
  </cellXfs>
  <cellStyles count="3">
    <cellStyle name="Normale" xfId="0" builtinId="0"/>
    <cellStyle name="Percentuale" xfId="2" builtinId="5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4940BE-7C65-40FA-911A-740A015AC8C5}">
  <dimension ref="A1:F40"/>
  <sheetViews>
    <sheetView tabSelected="1" zoomScale="110" zoomScaleNormal="110" workbookViewId="0">
      <selection activeCell="C18" sqref="C18"/>
    </sheetView>
  </sheetViews>
  <sheetFormatPr defaultColWidth="8.85546875" defaultRowHeight="15" x14ac:dyDescent="0.25"/>
  <cols>
    <col min="1" max="1" width="14.28515625" customWidth="1"/>
    <col min="2" max="2" width="45.42578125" customWidth="1"/>
    <col min="3" max="3" width="17.7109375" customWidth="1"/>
    <col min="4" max="4" width="11.7109375" bestFit="1" customWidth="1"/>
    <col min="5" max="5" width="10.28515625" bestFit="1" customWidth="1"/>
    <col min="6" max="6" width="11.7109375" bestFit="1" customWidth="1"/>
  </cols>
  <sheetData>
    <row r="1" spans="1:3" ht="15.75" thickBot="1" x14ac:dyDescent="0.3">
      <c r="A1" s="59" t="s">
        <v>39</v>
      </c>
      <c r="B1" s="60"/>
      <c r="C1" s="61"/>
    </row>
    <row r="2" spans="1:3" ht="15.75" thickBot="1" x14ac:dyDescent="0.3"/>
    <row r="3" spans="1:3" ht="15" customHeight="1" x14ac:dyDescent="0.25">
      <c r="A3" s="68" t="s">
        <v>13</v>
      </c>
      <c r="B3" s="31" t="s">
        <v>60</v>
      </c>
      <c r="C3" s="11" t="s">
        <v>27</v>
      </c>
    </row>
    <row r="4" spans="1:3" x14ac:dyDescent="0.25">
      <c r="A4" s="69"/>
      <c r="B4" s="32" t="s">
        <v>22</v>
      </c>
      <c r="C4" s="27">
        <v>1</v>
      </c>
    </row>
    <row r="5" spans="1:3" x14ac:dyDescent="0.25">
      <c r="A5" s="69"/>
      <c r="B5" s="33" t="s">
        <v>49</v>
      </c>
      <c r="C5" s="12">
        <v>12</v>
      </c>
    </row>
    <row r="6" spans="1:3" x14ac:dyDescent="0.25">
      <c r="A6" s="69"/>
      <c r="B6" s="33" t="s">
        <v>48</v>
      </c>
      <c r="C6" s="12">
        <v>3</v>
      </c>
    </row>
    <row r="7" spans="1:3" x14ac:dyDescent="0.25">
      <c r="A7" s="69"/>
      <c r="B7" s="33" t="s">
        <v>23</v>
      </c>
      <c r="C7" s="12">
        <v>1640</v>
      </c>
    </row>
    <row r="8" spans="1:3" x14ac:dyDescent="0.25">
      <c r="A8" s="69"/>
      <c r="B8" s="33" t="s">
        <v>0</v>
      </c>
      <c r="C8" s="12" t="s">
        <v>2</v>
      </c>
    </row>
    <row r="9" spans="1:3" x14ac:dyDescent="0.25">
      <c r="A9" s="69"/>
      <c r="B9" s="38" t="s">
        <v>52</v>
      </c>
      <c r="C9" s="12" t="s">
        <v>53</v>
      </c>
    </row>
    <row r="10" spans="1:3" x14ac:dyDescent="0.25">
      <c r="A10" s="69"/>
      <c r="B10" s="33" t="s">
        <v>17</v>
      </c>
      <c r="C10" s="12">
        <v>13</v>
      </c>
    </row>
    <row r="11" spans="1:3" x14ac:dyDescent="0.25">
      <c r="A11" s="69"/>
      <c r="B11" s="54" t="s">
        <v>65</v>
      </c>
      <c r="C11" s="55">
        <v>4</v>
      </c>
    </row>
    <row r="12" spans="1:3" ht="15.75" thickBot="1" x14ac:dyDescent="0.3">
      <c r="A12" s="70"/>
      <c r="B12" s="45" t="s">
        <v>24</v>
      </c>
      <c r="C12" s="46">
        <v>0</v>
      </c>
    </row>
    <row r="13" spans="1:3" ht="15.95" customHeight="1" x14ac:dyDescent="0.25">
      <c r="A13" s="71" t="s">
        <v>58</v>
      </c>
      <c r="B13" s="43" t="s">
        <v>36</v>
      </c>
      <c r="C13" s="44">
        <f>MIN(5,TRUNC(C6/2))</f>
        <v>1</v>
      </c>
    </row>
    <row r="14" spans="1:3" x14ac:dyDescent="0.25">
      <c r="A14" s="72"/>
      <c r="B14" s="42" t="s">
        <v>1</v>
      </c>
      <c r="C14" s="29">
        <f>VLOOKUP(C3,parametri!$A$4:$B$17,2,FALSE)</f>
        <v>1511.25</v>
      </c>
    </row>
    <row r="15" spans="1:3" x14ac:dyDescent="0.25">
      <c r="A15" s="72"/>
      <c r="B15" s="35" t="s">
        <v>50</v>
      </c>
      <c r="C15" s="29">
        <f>VLOOKUP(C3,parametri!A3:C16,3,FALSE)</f>
        <v>20.66</v>
      </c>
    </row>
    <row r="16" spans="1:3" x14ac:dyDescent="0.25">
      <c r="A16" s="72"/>
      <c r="B16" s="53" t="s">
        <v>63</v>
      </c>
      <c r="C16" s="29">
        <f>VLOOKUP(C3,parametri!A4:D17,4,FALSE)</f>
        <v>38.54</v>
      </c>
    </row>
    <row r="17" spans="1:4" ht="15.75" thickBot="1" x14ac:dyDescent="0.3">
      <c r="A17" s="73"/>
      <c r="B17" s="34" t="s">
        <v>57</v>
      </c>
      <c r="C17" s="36">
        <f>C15*C13*C4+C14*C4+C12+C16*C4</f>
        <v>1570.45</v>
      </c>
    </row>
    <row r="18" spans="1:4" ht="15.75" thickBot="1" x14ac:dyDescent="0.3"/>
    <row r="19" spans="1:4" ht="15" customHeight="1" x14ac:dyDescent="0.25">
      <c r="A19" s="65" t="s">
        <v>14</v>
      </c>
      <c r="B19" s="4" t="s">
        <v>5</v>
      </c>
      <c r="C19" s="6">
        <f>VLOOKUP(C8,parametri!F4:G5,2,FALSE)</f>
        <v>0.29399999999999998</v>
      </c>
    </row>
    <row r="20" spans="1:4" x14ac:dyDescent="0.25">
      <c r="A20" s="66"/>
      <c r="B20" s="5" t="s">
        <v>7</v>
      </c>
      <c r="C20" s="7">
        <f>parametri!G8</f>
        <v>0.01</v>
      </c>
    </row>
    <row r="21" spans="1:4" x14ac:dyDescent="0.25">
      <c r="A21" s="66"/>
      <c r="B21" s="5" t="s">
        <v>6</v>
      </c>
      <c r="C21" s="7">
        <f>parametri!G7</f>
        <v>7.407407407407407E-2</v>
      </c>
    </row>
    <row r="22" spans="1:4" x14ac:dyDescent="0.25">
      <c r="A22" s="66"/>
      <c r="B22" s="37" t="s">
        <v>16</v>
      </c>
      <c r="C22" s="7">
        <f>VLOOKUP(C8,parametri!F4:H5,3,FALSE)</f>
        <v>0</v>
      </c>
    </row>
    <row r="23" spans="1:4" ht="15.75" thickBot="1" x14ac:dyDescent="0.3">
      <c r="A23" s="67"/>
      <c r="B23" s="19" t="s">
        <v>51</v>
      </c>
      <c r="C23" s="8">
        <f>IF(C9="SI",parametri!G9,0)</f>
        <v>1.4999999999999999E-2</v>
      </c>
    </row>
    <row r="24" spans="1:4" ht="15.75" thickBot="1" x14ac:dyDescent="0.3"/>
    <row r="25" spans="1:4" x14ac:dyDescent="0.25">
      <c r="A25" s="56" t="s">
        <v>15</v>
      </c>
      <c r="B25" s="4" t="s">
        <v>10</v>
      </c>
      <c r="C25" s="9">
        <f>C17*C5</f>
        <v>18845.400000000001</v>
      </c>
      <c r="D25" s="2"/>
    </row>
    <row r="26" spans="1:4" x14ac:dyDescent="0.25">
      <c r="A26" s="57"/>
      <c r="B26" s="25" t="s">
        <v>21</v>
      </c>
      <c r="C26" s="26">
        <f>(C25)/C5*C5/12*(C10-12)</f>
        <v>1570.45</v>
      </c>
      <c r="D26" s="2"/>
    </row>
    <row r="27" spans="1:4" x14ac:dyDescent="0.25">
      <c r="A27" s="57"/>
      <c r="B27" s="40" t="s">
        <v>55</v>
      </c>
      <c r="C27" s="41">
        <f>C25+C26</f>
        <v>20415.850000000002</v>
      </c>
      <c r="D27" s="2"/>
    </row>
    <row r="28" spans="1:4" x14ac:dyDescent="0.25">
      <c r="A28" s="57"/>
      <c r="B28" s="5" t="s">
        <v>5</v>
      </c>
      <c r="C28" s="10">
        <f>(C27)*(C19)</f>
        <v>6002.2599</v>
      </c>
      <c r="D28" s="2"/>
    </row>
    <row r="29" spans="1:4" x14ac:dyDescent="0.25">
      <c r="A29" s="57"/>
      <c r="B29" s="5" t="s">
        <v>8</v>
      </c>
      <c r="C29" s="10">
        <f>(C27)*C20</f>
        <v>204.15850000000003</v>
      </c>
      <c r="D29" s="2"/>
    </row>
    <row r="30" spans="1:4" x14ac:dyDescent="0.25">
      <c r="A30" s="57"/>
      <c r="B30" s="5" t="s">
        <v>6</v>
      </c>
      <c r="C30" s="10">
        <f>(C25)*C21</f>
        <v>1395.9555555555555</v>
      </c>
    </row>
    <row r="31" spans="1:4" x14ac:dyDescent="0.25">
      <c r="A31" s="57"/>
      <c r="B31" s="5" t="s">
        <v>41</v>
      </c>
      <c r="C31" s="10">
        <f>(C27)*C23</f>
        <v>306.23775000000001</v>
      </c>
    </row>
    <row r="32" spans="1:4" x14ac:dyDescent="0.25">
      <c r="A32" s="57"/>
      <c r="B32" s="5" t="s">
        <v>40</v>
      </c>
      <c r="C32" s="10">
        <v>66</v>
      </c>
    </row>
    <row r="33" spans="1:6" x14ac:dyDescent="0.25">
      <c r="A33" s="57"/>
      <c r="B33" s="5" t="s">
        <v>64</v>
      </c>
      <c r="C33" s="10">
        <f>C11*parametri!H11*calcolo!C4</f>
        <v>860</v>
      </c>
    </row>
    <row r="34" spans="1:6" x14ac:dyDescent="0.25">
      <c r="A34" s="57"/>
      <c r="B34" s="15" t="s">
        <v>11</v>
      </c>
      <c r="C34" s="16">
        <f>SUM(C27:C33)</f>
        <v>29250.461705555561</v>
      </c>
      <c r="D34" s="1"/>
      <c r="E34" s="2"/>
      <c r="F34" s="2"/>
    </row>
    <row r="35" spans="1:6" x14ac:dyDescent="0.25">
      <c r="A35" s="57"/>
      <c r="B35" s="5" t="s">
        <v>9</v>
      </c>
      <c r="C35" s="10">
        <f>C34*C22</f>
        <v>0</v>
      </c>
    </row>
    <row r="36" spans="1:6" ht="15.75" thickBot="1" x14ac:dyDescent="0.3">
      <c r="A36" s="58"/>
      <c r="B36" s="13" t="s">
        <v>12</v>
      </c>
      <c r="C36" s="14">
        <f>SUM(C34:C35)</f>
        <v>29250.461705555561</v>
      </c>
    </row>
    <row r="37" spans="1:6" ht="15.75" thickBot="1" x14ac:dyDescent="0.3">
      <c r="E37" s="23"/>
    </row>
    <row r="38" spans="1:6" x14ac:dyDescent="0.25">
      <c r="A38" s="62" t="s">
        <v>18</v>
      </c>
      <c r="B38" s="18" t="s">
        <v>19</v>
      </c>
      <c r="C38" s="24">
        <f>C5/12*C7*C4</f>
        <v>1640</v>
      </c>
    </row>
    <row r="39" spans="1:6" x14ac:dyDescent="0.25">
      <c r="A39" s="63"/>
      <c r="B39" s="21" t="s">
        <v>56</v>
      </c>
      <c r="C39" s="22">
        <f>C34/C38</f>
        <v>17.835647381436317</v>
      </c>
    </row>
    <row r="40" spans="1:6" ht="15.75" thickBot="1" x14ac:dyDescent="0.3">
      <c r="A40" s="64"/>
      <c r="B40" s="19" t="s">
        <v>20</v>
      </c>
      <c r="C40" s="20">
        <f>C36/C38</f>
        <v>17.835647381436317</v>
      </c>
    </row>
  </sheetData>
  <scenarios current="0" sqref="C32">
    <scenario name="COSTI-COOP" locked="1" count="1" user="GTavella" comment="Creato da: GTavella il 03/05/2021">
      <inputCells r="C3" val="D2"/>
    </scenario>
    <scenario name="F" count="1" user="GTavella" comment="Creato da: GTavella il 03/05/2021">
      <inputCells r="C3" val="D2;E2;E1"/>
    </scenario>
  </scenarios>
  <mergeCells count="6">
    <mergeCell ref="A25:A36"/>
    <mergeCell ref="A1:C1"/>
    <mergeCell ref="A38:A40"/>
    <mergeCell ref="A19:A23"/>
    <mergeCell ref="A3:A12"/>
    <mergeCell ref="A13:A17"/>
  </mergeCells>
  <dataValidations disablePrompts="1" count="4">
    <dataValidation type="list" allowBlank="1" showInputMessage="1" sqref="C7" xr:uid="{D6603BD1-3034-481C-B0BA-71FAD0D68D9F}">
      <formula1>"1548,1640,1710,1728"</formula1>
    </dataValidation>
    <dataValidation type="list" allowBlank="1" showInputMessage="1" showErrorMessage="1" sqref="C10" xr:uid="{EA5CE8F9-0DE8-441A-BC8F-D777DBB4B9E6}">
      <formula1>"13,14"</formula1>
    </dataValidation>
    <dataValidation type="list" allowBlank="1" showInputMessage="1" showErrorMessage="1" sqref="C23" xr:uid="{46C971D6-31C0-0E48-BD69-0F169FFE905D}">
      <mc:AlternateContent xmlns:x12ac="http://schemas.microsoft.com/office/spreadsheetml/2011/1/ac" xmlns:mc="http://schemas.openxmlformats.org/markup-compatibility/2006">
        <mc:Choice Requires="x12ac">
          <x12ac:list>0,"1,5%"</x12ac:list>
        </mc:Choice>
        <mc:Fallback>
          <formula1>"0,1,5%"</formula1>
        </mc:Fallback>
      </mc:AlternateContent>
    </dataValidation>
    <dataValidation type="list" allowBlank="1" showInputMessage="1" showErrorMessage="1" sqref="C9" xr:uid="{723EA6E3-8C84-F646-8E1E-10853D6D2C46}">
      <formula1>"SI,NO"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0338AB70-625B-4837-89A9-7DB90BFF0362}">
          <x14:formula1>
            <xm:f>parametri!$A$4:$A$16</xm:f>
          </x14:formula1>
          <xm:sqref>C3</xm:sqref>
        </x14:dataValidation>
        <x14:dataValidation type="list" allowBlank="1" showInputMessage="1" showErrorMessage="1" xr:uid="{2B0D4C02-BDCC-46BF-86B7-65D6CFABDE62}">
          <x14:formula1>
            <xm:f>parametri!$F$4:$F$5</xm:f>
          </x14:formula1>
          <xm:sqref>C8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ADFE65-907F-45FA-AFAA-319B26D76394}">
  <dimension ref="A2:H16"/>
  <sheetViews>
    <sheetView workbookViewId="0">
      <selection activeCell="H16" sqref="H16"/>
    </sheetView>
  </sheetViews>
  <sheetFormatPr defaultColWidth="8.85546875" defaultRowHeight="15" x14ac:dyDescent="0.25"/>
  <cols>
    <col min="1" max="1" width="17.85546875" customWidth="1"/>
    <col min="2" max="2" width="12.28515625" bestFit="1" customWidth="1"/>
    <col min="3" max="3" width="12.28515625" customWidth="1"/>
    <col min="4" max="4" width="11" bestFit="1" customWidth="1"/>
    <col min="5" max="5" width="11" customWidth="1"/>
    <col min="6" max="6" width="12.42578125" customWidth="1"/>
    <col min="7" max="7" width="13.28515625" customWidth="1"/>
    <col min="8" max="8" width="12.42578125" customWidth="1"/>
    <col min="9" max="9" width="12.28515625" bestFit="1" customWidth="1"/>
    <col min="10" max="10" width="12.28515625" customWidth="1"/>
    <col min="11" max="11" width="20" bestFit="1" customWidth="1"/>
    <col min="12" max="12" width="14.7109375" bestFit="1" customWidth="1"/>
  </cols>
  <sheetData>
    <row r="2" spans="1:8" x14ac:dyDescent="0.25">
      <c r="A2" s="30" t="s">
        <v>42</v>
      </c>
      <c r="B2" s="30"/>
      <c r="C2" s="30"/>
      <c r="E2" s="51"/>
      <c r="F2" s="30" t="s">
        <v>43</v>
      </c>
    </row>
    <row r="3" spans="1:8" x14ac:dyDescent="0.25">
      <c r="A3" s="52" t="s">
        <v>59</v>
      </c>
      <c r="B3" s="52" t="s">
        <v>1</v>
      </c>
      <c r="C3" s="52" t="s">
        <v>61</v>
      </c>
      <c r="D3" s="52" t="s">
        <v>62</v>
      </c>
      <c r="E3" s="51"/>
      <c r="F3" s="3" t="s">
        <v>4</v>
      </c>
      <c r="G3" s="3" t="s">
        <v>44</v>
      </c>
      <c r="H3" s="3" t="s">
        <v>47</v>
      </c>
    </row>
    <row r="4" spans="1:8" x14ac:dyDescent="0.25">
      <c r="A4" s="3" t="s">
        <v>38</v>
      </c>
      <c r="B4" s="28">
        <v>2023.07</v>
      </c>
      <c r="C4" s="3">
        <f>118.53/3</f>
        <v>39.51</v>
      </c>
      <c r="D4" s="3">
        <v>58.92</v>
      </c>
      <c r="E4" s="51"/>
      <c r="F4" s="3" t="s">
        <v>3</v>
      </c>
      <c r="G4" s="47">
        <v>0.308</v>
      </c>
      <c r="H4" s="47">
        <v>3.9E-2</v>
      </c>
    </row>
    <row r="5" spans="1:8" x14ac:dyDescent="0.25">
      <c r="A5" s="3" t="s">
        <v>37</v>
      </c>
      <c r="B5" s="28">
        <v>2310.41</v>
      </c>
      <c r="C5" s="3">
        <f>139.44/3</f>
        <v>46.48</v>
      </c>
      <c r="D5" s="3">
        <v>51.59</v>
      </c>
      <c r="E5" s="51"/>
      <c r="F5" s="3" t="s">
        <v>2</v>
      </c>
      <c r="G5" s="47">
        <v>0.29399999999999998</v>
      </c>
      <c r="H5" s="48">
        <v>0</v>
      </c>
    </row>
    <row r="6" spans="1:8" x14ac:dyDescent="0.25">
      <c r="A6" s="3" t="s">
        <v>25</v>
      </c>
      <c r="B6" s="28">
        <v>1831.74</v>
      </c>
      <c r="C6" s="3">
        <f>94.5/3</f>
        <v>31.5</v>
      </c>
      <c r="D6" s="3">
        <v>46.71</v>
      </c>
      <c r="E6" s="51"/>
      <c r="G6" s="39"/>
    </row>
    <row r="7" spans="1:8" x14ac:dyDescent="0.25">
      <c r="A7" s="3" t="s">
        <v>29</v>
      </c>
      <c r="B7" s="28">
        <v>1697.04</v>
      </c>
      <c r="C7" s="3">
        <v>31.5</v>
      </c>
      <c r="D7" s="3">
        <v>43.27</v>
      </c>
      <c r="E7" s="51"/>
      <c r="F7" s="3" t="s">
        <v>46</v>
      </c>
      <c r="G7" s="49">
        <f>1/13.5</f>
        <v>7.407407407407407E-2</v>
      </c>
    </row>
    <row r="8" spans="1:8" x14ac:dyDescent="0.25">
      <c r="A8" s="3" t="s">
        <v>30</v>
      </c>
      <c r="B8" s="28">
        <v>1697.04</v>
      </c>
      <c r="C8" s="3">
        <f>80.58/3</f>
        <v>26.86</v>
      </c>
      <c r="D8" s="3">
        <v>43.27</v>
      </c>
      <c r="E8" s="51"/>
      <c r="F8" s="3" t="s">
        <v>45</v>
      </c>
      <c r="G8" s="47">
        <v>0.01</v>
      </c>
    </row>
    <row r="9" spans="1:8" x14ac:dyDescent="0.25">
      <c r="A9" s="3" t="s">
        <v>26</v>
      </c>
      <c r="B9" s="28">
        <v>1594.15</v>
      </c>
      <c r="C9" s="3">
        <f>69.72/3</f>
        <v>23.24</v>
      </c>
      <c r="D9" s="3">
        <v>40.65</v>
      </c>
      <c r="E9" s="51"/>
      <c r="F9" s="17" t="s">
        <v>54</v>
      </c>
      <c r="G9" s="50">
        <v>1.4999999999999999E-2</v>
      </c>
    </row>
    <row r="10" spans="1:8" x14ac:dyDescent="0.25">
      <c r="A10" s="3" t="s">
        <v>27</v>
      </c>
      <c r="B10" s="28">
        <v>1511.25</v>
      </c>
      <c r="C10" s="3">
        <v>20.66</v>
      </c>
      <c r="D10" s="3">
        <v>38.54</v>
      </c>
      <c r="E10" s="51"/>
    </row>
    <row r="11" spans="1:8" x14ac:dyDescent="0.25">
      <c r="A11" s="3" t="s">
        <v>28</v>
      </c>
      <c r="B11" s="28">
        <v>1511.25</v>
      </c>
      <c r="C11" s="3">
        <f>61.98/3</f>
        <v>20.66</v>
      </c>
      <c r="D11" s="3">
        <v>38.54</v>
      </c>
      <c r="E11" s="51"/>
      <c r="F11" s="17" t="s">
        <v>66</v>
      </c>
      <c r="G11" s="17"/>
      <c r="H11" s="48">
        <v>215</v>
      </c>
    </row>
    <row r="12" spans="1:8" x14ac:dyDescent="0.25">
      <c r="A12" s="3" t="s">
        <v>31</v>
      </c>
      <c r="B12" s="28">
        <v>1467.9</v>
      </c>
      <c r="C12" s="3">
        <f>58.89/3</f>
        <v>19.63</v>
      </c>
      <c r="D12" s="3">
        <v>37.43</v>
      </c>
      <c r="E12" s="51"/>
    </row>
    <row r="13" spans="1:8" x14ac:dyDescent="0.25">
      <c r="A13" s="3" t="s">
        <v>32</v>
      </c>
      <c r="B13" s="28">
        <v>1425.21</v>
      </c>
      <c r="C13" s="3">
        <f>55.77/3</f>
        <v>18.59</v>
      </c>
      <c r="D13" s="3">
        <v>36.340000000000003</v>
      </c>
      <c r="E13" s="51"/>
    </row>
    <row r="14" spans="1:8" x14ac:dyDescent="0.25">
      <c r="A14" s="3" t="s">
        <v>33</v>
      </c>
      <c r="B14" s="28">
        <v>1325.21</v>
      </c>
      <c r="C14" s="3">
        <f>48.81/3</f>
        <v>16.27</v>
      </c>
      <c r="D14" s="3">
        <v>33.79</v>
      </c>
      <c r="E14" s="51"/>
    </row>
    <row r="15" spans="1:8" x14ac:dyDescent="0.25">
      <c r="A15" s="3" t="s">
        <v>34</v>
      </c>
      <c r="B15" s="28">
        <v>1266.21</v>
      </c>
      <c r="C15" s="3">
        <f>40.29/3</f>
        <v>13.43</v>
      </c>
      <c r="D15" s="3">
        <v>32.29</v>
      </c>
      <c r="E15" s="51"/>
    </row>
    <row r="16" spans="1:8" x14ac:dyDescent="0.25">
      <c r="A16" s="3" t="s">
        <v>35</v>
      </c>
      <c r="B16" s="28">
        <v>1254.5899999999999</v>
      </c>
      <c r="C16" s="3">
        <f>34.86/3</f>
        <v>11.62</v>
      </c>
      <c r="D16" s="3">
        <v>31.99</v>
      </c>
      <c r="E16" s="5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calcolo</vt:lpstr>
      <vt:lpstr>parametri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GTavella</cp:lastModifiedBy>
  <cp:lastPrinted>2021-01-21T10:29:59Z</cp:lastPrinted>
  <dcterms:created xsi:type="dcterms:W3CDTF">2019-05-08T10:52:25Z</dcterms:created>
  <dcterms:modified xsi:type="dcterms:W3CDTF">2021-07-13T09:56:01Z</dcterms:modified>
</cp:coreProperties>
</file>